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1000" activeTab="1"/>
  </bookViews>
  <sheets>
    <sheet name="Sch A" sheetId="1" r:id="rId1"/>
    <sheet name="Sch B" sheetId="2" r:id="rId2"/>
  </sheets>
  <definedNames/>
  <calcPr fullCalcOnLoad="1"/>
</workbook>
</file>

<file path=xl/sharedStrings.xml><?xml version="1.0" encoding="utf-8"?>
<sst xmlns="http://schemas.openxmlformats.org/spreadsheetml/2006/main" count="212" uniqueCount="101">
  <si>
    <t>CHASE PERDANA GROUP OF COMPANIES</t>
  </si>
  <si>
    <t>Total</t>
  </si>
  <si>
    <t>Bank/Financial Institution</t>
  </si>
  <si>
    <t>Note</t>
  </si>
  <si>
    <t>Eff Int rate</t>
  </si>
  <si>
    <t>Type</t>
  </si>
  <si>
    <t>Principal</t>
  </si>
  <si>
    <t>forYR 00</t>
  </si>
  <si>
    <t>Amount</t>
  </si>
  <si>
    <t>Short Term Borrowings-Overdraft</t>
  </si>
  <si>
    <t>HSBC</t>
  </si>
  <si>
    <t>OD</t>
  </si>
  <si>
    <t>OCBC</t>
  </si>
  <si>
    <t>9.1%-9.15%</t>
  </si>
  <si>
    <t>9.1-9.4%</t>
  </si>
  <si>
    <t>United Overseas</t>
  </si>
  <si>
    <t>RHB</t>
  </si>
  <si>
    <t>8.4-10.09%</t>
  </si>
  <si>
    <t>9.2-9.27%</t>
  </si>
  <si>
    <t>Sub total</t>
  </si>
  <si>
    <t>Short Term Borrowings-RC</t>
  </si>
  <si>
    <t>RC</t>
  </si>
  <si>
    <t>Utama Wardley</t>
  </si>
  <si>
    <t>DN</t>
  </si>
  <si>
    <t>Arab Msia</t>
  </si>
  <si>
    <t>DU</t>
  </si>
  <si>
    <t>Aseambanker</t>
  </si>
  <si>
    <t>Bank Islam</t>
  </si>
  <si>
    <t>BA</t>
  </si>
  <si>
    <t>Short Term Borrowings-Term Loan</t>
  </si>
  <si>
    <t>IRR 9.25%</t>
  </si>
  <si>
    <t>T/Loan</t>
  </si>
  <si>
    <t>B/loan</t>
  </si>
  <si>
    <t>T/loan</t>
  </si>
  <si>
    <t>7.6-8.4%</t>
  </si>
  <si>
    <t>S/loan</t>
  </si>
  <si>
    <t>L.T.Haji</t>
  </si>
  <si>
    <t>DM</t>
  </si>
  <si>
    <t>Long Term Borrowings-Term Loan</t>
  </si>
  <si>
    <t>DM - Danaharta Managers Sdn Bhd</t>
  </si>
  <si>
    <t>DN - Pengurusan Danaharta Nasional Berhad</t>
  </si>
  <si>
    <t>DU - Danaharta Urus Sdn Bhd</t>
  </si>
  <si>
    <t>RC &amp; short Term Loan</t>
  </si>
  <si>
    <t>F.Loan</t>
  </si>
  <si>
    <t>OCBC Finance</t>
  </si>
  <si>
    <t>Sub Total</t>
  </si>
  <si>
    <t>Bank Overdraft</t>
  </si>
  <si>
    <t>O/D</t>
  </si>
  <si>
    <t>Block Discount</t>
  </si>
  <si>
    <t>Blk</t>
  </si>
  <si>
    <t>TOTAL (LH Group of companies)</t>
  </si>
  <si>
    <t>BIMB</t>
  </si>
  <si>
    <t>Trust Receipt</t>
  </si>
  <si>
    <t>TR</t>
  </si>
  <si>
    <t>TOTAL (CPB-Plastronic)</t>
  </si>
  <si>
    <t>AMBB-Arab Malaysian Finance Bhd</t>
  </si>
  <si>
    <t>RHB-Sime Bank</t>
  </si>
  <si>
    <t>SBB-United Merchant Finance Bhd</t>
  </si>
  <si>
    <t>BCBB-BBMB Kewangan</t>
  </si>
  <si>
    <t>EON-City Finance Bhd</t>
  </si>
  <si>
    <t>MPBB-Sabah Dev. Bank</t>
  </si>
  <si>
    <t>EON-Oriental Finance Bhd</t>
  </si>
  <si>
    <t>RHB-Inter Finance Bhd</t>
  </si>
  <si>
    <t>MBB-Kewangan Industri Bhd (BI Credit )</t>
  </si>
  <si>
    <t>MBB-Kewangan Bersatu Bhd</t>
  </si>
  <si>
    <t>MBB-Mayban Finance</t>
  </si>
  <si>
    <t>MPBB- Sabah Bank</t>
  </si>
  <si>
    <t>SBB-UMBC Finance</t>
  </si>
  <si>
    <t>EON- Oriental Bank Berhad</t>
  </si>
  <si>
    <t>RHB -Sime Bank</t>
  </si>
  <si>
    <t>BCBB-BBMB</t>
  </si>
  <si>
    <t>MBB-Maybank</t>
  </si>
  <si>
    <t>ABN-Amro Bank</t>
  </si>
  <si>
    <t>PABB-BSN Commercial Bank</t>
  </si>
  <si>
    <t>AMBB - Bank Utama</t>
  </si>
  <si>
    <t>MBB - Maybank</t>
  </si>
  <si>
    <t>PABB - BSN Comm (upwt)</t>
  </si>
  <si>
    <t>EON - Oriental Bank</t>
  </si>
  <si>
    <t>MBB - Pacific Bank</t>
  </si>
  <si>
    <t>Standard Chartered</t>
  </si>
  <si>
    <t>PABB - BSN Comm</t>
  </si>
  <si>
    <t>AMBB - Arab Msia</t>
  </si>
  <si>
    <t>BCBB - Bank Bumi</t>
  </si>
  <si>
    <t>PABB - Perwira Affin</t>
  </si>
  <si>
    <t>MPBB - MBF Finance</t>
  </si>
  <si>
    <t>BCBB - Bumi Merchant</t>
  </si>
  <si>
    <t>PABB- BSN Comm</t>
  </si>
  <si>
    <t>CHASE PERDANA BERHAD</t>
  </si>
  <si>
    <t xml:space="preserve"> </t>
  </si>
  <si>
    <t>ABN Amro</t>
  </si>
  <si>
    <t>Outstanding</t>
  </si>
  <si>
    <t>Accrued Interest</t>
  </si>
  <si>
    <t>LH CAPITAL SDN. BHD.</t>
  </si>
  <si>
    <t>SANTUN INDAH SDN. BHD.</t>
  </si>
  <si>
    <t>CPB-PLASTRONIC JV SDN. BHD.</t>
  </si>
  <si>
    <t>BINAPRIMAS SDN. BHD.</t>
  </si>
  <si>
    <t>TOTAL OF SUBSIDIARIES</t>
  </si>
  <si>
    <t>GRAND TOTAL OF CPB &amp; SUBSIDIARIES</t>
  </si>
  <si>
    <t>TOTAL OF CPB</t>
  </si>
  <si>
    <t>Loan as at 30th June 2002</t>
  </si>
  <si>
    <t>June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</si>
</sst>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\ h:mm\ AM/PM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Times New Roman"/>
      <family val="1"/>
    </font>
    <font>
      <sz val="10"/>
      <color indexed="5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0" borderId="0" xfId="21" applyNumberFormat="1" applyFont="1" applyAlignment="1">
      <alignment horizontal="center"/>
    </xf>
    <xf numFmtId="164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0" fontId="1" fillId="0" borderId="6" xfId="2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3" fillId="0" borderId="7" xfId="21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0" fontId="3" fillId="0" borderId="8" xfId="2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3" fillId="0" borderId="0" xfId="15" applyNumberFormat="1" applyFont="1" applyAlignment="1">
      <alignment horizontal="center"/>
    </xf>
    <xf numFmtId="10" fontId="1" fillId="0" borderId="7" xfId="21" applyNumberFormat="1" applyFont="1" applyBorder="1" applyAlignment="1">
      <alignment horizontal="center"/>
    </xf>
    <xf numFmtId="164" fontId="3" fillId="0" borderId="0" xfId="15" applyNumberFormat="1" applyFont="1" applyAlignment="1">
      <alignment/>
    </xf>
    <xf numFmtId="10" fontId="1" fillId="0" borderId="9" xfId="21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0" fontId="3" fillId="0" borderId="11" xfId="21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12" xfId="15" applyNumberFormat="1" applyFont="1" applyFill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3" fillId="0" borderId="13" xfId="15" applyNumberFormat="1" applyFont="1" applyFill="1" applyBorder="1" applyAlignment="1">
      <alignment horizontal="center"/>
    </xf>
    <xf numFmtId="164" fontId="3" fillId="0" borderId="14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64" fontId="3" fillId="0" borderId="15" xfId="15" applyNumberFormat="1" applyFont="1" applyFill="1" applyBorder="1" applyAlignment="1">
      <alignment horizontal="center"/>
    </xf>
    <xf numFmtId="164" fontId="3" fillId="0" borderId="16" xfId="15" applyNumberFormat="1" applyFont="1" applyFill="1" applyBorder="1" applyAlignment="1">
      <alignment horizontal="center"/>
    </xf>
    <xf numFmtId="164" fontId="3" fillId="0" borderId="5" xfId="15" applyNumberFormat="1" applyFont="1" applyFill="1" applyBorder="1" applyAlignment="1" quotePrefix="1">
      <alignment horizontal="center"/>
    </xf>
    <xf numFmtId="164" fontId="3" fillId="0" borderId="1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17" xfId="15" applyNumberFormat="1" applyFont="1" applyFill="1" applyBorder="1" applyAlignment="1">
      <alignment/>
    </xf>
    <xf numFmtId="164" fontId="1" fillId="0" borderId="18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 horizontal="center"/>
    </xf>
    <xf numFmtId="164" fontId="3" fillId="2" borderId="3" xfId="15" applyNumberFormat="1" applyFont="1" applyFill="1" applyBorder="1" applyAlignment="1">
      <alignment horizontal="center"/>
    </xf>
    <xf numFmtId="164" fontId="4" fillId="2" borderId="3" xfId="15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4" fontId="4" fillId="3" borderId="3" xfId="15" applyNumberFormat="1" applyFont="1" applyFill="1" applyBorder="1" applyAlignment="1">
      <alignment/>
    </xf>
    <xf numFmtId="164" fontId="4" fillId="3" borderId="0" xfId="15" applyNumberFormat="1" applyFont="1" applyFill="1" applyBorder="1" applyAlignment="1">
      <alignment/>
    </xf>
    <xf numFmtId="164" fontId="4" fillId="3" borderId="0" xfId="15" applyNumberFormat="1" applyFont="1" applyFill="1" applyBorder="1" applyAlignment="1">
      <alignment horizontal="center"/>
    </xf>
    <xf numFmtId="164" fontId="4" fillId="3" borderId="3" xfId="15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1" fillId="0" borderId="19" xfId="15" applyNumberFormat="1" applyFont="1" applyFill="1" applyBorder="1" applyAlignment="1">
      <alignment/>
    </xf>
    <xf numFmtId="164" fontId="3" fillId="0" borderId="20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/>
    </xf>
    <xf numFmtId="164" fontId="3" fillId="0" borderId="21" xfId="15" applyNumberFormat="1" applyFont="1" applyFill="1" applyBorder="1" applyAlignment="1" quotePrefix="1">
      <alignment horizontal="center"/>
    </xf>
    <xf numFmtId="164" fontId="1" fillId="0" borderId="16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3" fillId="0" borderId="22" xfId="15" applyNumberFormat="1" applyFont="1" applyFill="1" applyBorder="1" applyAlignment="1">
      <alignment horizontal="center"/>
    </xf>
    <xf numFmtId="164" fontId="3" fillId="0" borderId="23" xfId="15" applyNumberFormat="1" applyFont="1" applyFill="1" applyBorder="1" applyAlignment="1">
      <alignment horizontal="center"/>
    </xf>
    <xf numFmtId="164" fontId="1" fillId="0" borderId="24" xfId="15" applyNumberFormat="1" applyFont="1" applyFill="1" applyBorder="1" applyAlignment="1">
      <alignment/>
    </xf>
    <xf numFmtId="164" fontId="1" fillId="0" borderId="25" xfId="15" applyNumberFormat="1" applyFont="1" applyFill="1" applyBorder="1" applyAlignment="1">
      <alignment/>
    </xf>
    <xf numFmtId="164" fontId="3" fillId="0" borderId="26" xfId="15" applyNumberFormat="1" applyFont="1" applyFill="1" applyBorder="1" applyAlignment="1">
      <alignment horizontal="center"/>
    </xf>
    <xf numFmtId="164" fontId="3" fillId="0" borderId="27" xfId="15" applyNumberFormat="1" applyFont="1" applyFill="1" applyBorder="1" applyAlignment="1">
      <alignment horizontal="center"/>
    </xf>
    <xf numFmtId="164" fontId="3" fillId="0" borderId="3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26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64" fontId="3" fillId="0" borderId="28" xfId="15" applyNumberFormat="1" applyFont="1" applyFill="1" applyBorder="1" applyAlignment="1" quotePrefix="1">
      <alignment horizontal="center"/>
    </xf>
    <xf numFmtId="164" fontId="3" fillId="0" borderId="29" xfId="15" applyNumberFormat="1" applyFont="1" applyFill="1" applyBorder="1" applyAlignment="1">
      <alignment horizontal="center"/>
    </xf>
    <xf numFmtId="164" fontId="3" fillId="0" borderId="30" xfId="15" applyNumberFormat="1" applyFont="1" applyFill="1" applyBorder="1" applyAlignment="1" quotePrefix="1">
      <alignment horizontal="center"/>
    </xf>
    <xf numFmtId="164" fontId="3" fillId="0" borderId="31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4" fillId="0" borderId="3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3" fillId="0" borderId="11" xfId="15" applyNumberFormat="1" applyFont="1" applyBorder="1" applyAlignment="1">
      <alignment horizontal="center"/>
    </xf>
    <xf numFmtId="164" fontId="3" fillId="0" borderId="11" xfId="15" applyNumberFormat="1" applyFont="1" applyFill="1" applyBorder="1" applyAlignment="1">
      <alignment horizontal="center"/>
    </xf>
    <xf numFmtId="164" fontId="3" fillId="0" borderId="32" xfId="15" applyNumberFormat="1" applyFont="1" applyFill="1" applyBorder="1" applyAlignment="1">
      <alignment/>
    </xf>
    <xf numFmtId="164" fontId="1" fillId="0" borderId="20" xfId="15" applyNumberFormat="1" applyFont="1" applyFill="1" applyBorder="1" applyAlignment="1">
      <alignment/>
    </xf>
    <xf numFmtId="164" fontId="1" fillId="0" borderId="23" xfId="15" applyNumberFormat="1" applyFont="1" applyFill="1" applyBorder="1" applyAlignment="1">
      <alignment/>
    </xf>
    <xf numFmtId="164" fontId="3" fillId="0" borderId="20" xfId="15" applyNumberFormat="1" applyFont="1" applyFill="1" applyBorder="1" applyAlignment="1">
      <alignment/>
    </xf>
    <xf numFmtId="164" fontId="3" fillId="0" borderId="33" xfId="15" applyNumberFormat="1" applyFont="1" applyFill="1" applyBorder="1" applyAlignment="1">
      <alignment/>
    </xf>
    <xf numFmtId="164" fontId="3" fillId="0" borderId="34" xfId="15" applyNumberFormat="1" applyFont="1" applyFill="1" applyBorder="1" applyAlignment="1">
      <alignment/>
    </xf>
    <xf numFmtId="164" fontId="1" fillId="0" borderId="29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/>
    </xf>
    <xf numFmtId="164" fontId="1" fillId="0" borderId="30" xfId="15" applyNumberFormat="1" applyFont="1" applyFill="1" applyBorder="1" applyAlignment="1">
      <alignment/>
    </xf>
    <xf numFmtId="164" fontId="1" fillId="0" borderId="15" xfId="15" applyNumberFormat="1" applyFont="1" applyFill="1" applyBorder="1" applyAlignment="1">
      <alignment/>
    </xf>
    <xf numFmtId="164" fontId="3" fillId="0" borderId="29" xfId="15" applyNumberFormat="1" applyFont="1" applyFill="1" applyBorder="1" applyAlignment="1">
      <alignment/>
    </xf>
    <xf numFmtId="164" fontId="3" fillId="0" borderId="14" xfId="15" applyNumberFormat="1" applyFont="1" applyFill="1" applyBorder="1" applyAlignment="1">
      <alignment/>
    </xf>
    <xf numFmtId="164" fontId="3" fillId="0" borderId="35" xfId="15" applyNumberFormat="1" applyFont="1" applyFill="1" applyBorder="1" applyAlignment="1">
      <alignment/>
    </xf>
    <xf numFmtId="164" fontId="3" fillId="0" borderId="36" xfId="15" applyNumberFormat="1" applyFont="1" applyFill="1" applyBorder="1" applyAlignment="1">
      <alignment/>
    </xf>
    <xf numFmtId="164" fontId="3" fillId="0" borderId="30" xfId="15" applyNumberFormat="1" applyFont="1" applyFill="1" applyBorder="1" applyAlignment="1">
      <alignment/>
    </xf>
    <xf numFmtId="164" fontId="3" fillId="0" borderId="37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85725</xdr:rowOff>
    </xdr:from>
    <xdr:to>
      <xdr:col>9</xdr:col>
      <xdr:colOff>0</xdr:colOff>
      <xdr:row>48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7372350" y="8648700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="80" zoomScaleNormal="80" workbookViewId="0" topLeftCell="A53">
      <selection activeCell="G63" sqref="G63"/>
    </sheetView>
  </sheetViews>
  <sheetFormatPr defaultColWidth="9.140625" defaultRowHeight="12.75"/>
  <cols>
    <col min="1" max="1" width="5.28125" style="4" customWidth="1"/>
    <col min="2" max="2" width="1.7109375" style="4" customWidth="1"/>
    <col min="3" max="3" width="31.140625" style="4" customWidth="1"/>
    <col min="4" max="4" width="7.57421875" style="38" customWidth="1"/>
    <col min="5" max="5" width="10.00390625" style="38" hidden="1" customWidth="1"/>
    <col min="6" max="6" width="8.7109375" style="56" customWidth="1"/>
    <col min="7" max="9" width="18.7109375" style="56" customWidth="1"/>
    <col min="10" max="16384" width="9.140625" style="4" customWidth="1"/>
  </cols>
  <sheetData>
    <row r="1" ht="20.25">
      <c r="B1" s="79" t="s">
        <v>0</v>
      </c>
    </row>
    <row r="2" spans="3:5" ht="15.75">
      <c r="C2" s="83" t="s">
        <v>99</v>
      </c>
      <c r="D2" s="30"/>
      <c r="E2" s="30"/>
    </row>
    <row r="3" spans="2:5" ht="8.25" customHeight="1" thickBot="1">
      <c r="B3" s="32"/>
      <c r="C3" s="32"/>
      <c r="D3" s="30"/>
      <c r="E3" s="30"/>
    </row>
    <row r="4" spans="2:9" ht="15" customHeight="1">
      <c r="B4" s="39"/>
      <c r="C4" s="40"/>
      <c r="D4" s="41"/>
      <c r="E4" s="42"/>
      <c r="F4" s="90"/>
      <c r="G4" s="81"/>
      <c r="H4" s="84"/>
      <c r="I4" s="87"/>
    </row>
    <row r="5" spans="2:9" s="17" customFormat="1" ht="12.75">
      <c r="B5" s="43" t="s">
        <v>2</v>
      </c>
      <c r="C5" s="21"/>
      <c r="D5" s="25" t="s">
        <v>3</v>
      </c>
      <c r="E5" s="44" t="s">
        <v>4</v>
      </c>
      <c r="F5" s="91" t="s">
        <v>5</v>
      </c>
      <c r="G5" s="45" t="s">
        <v>6</v>
      </c>
      <c r="H5" s="59" t="s">
        <v>91</v>
      </c>
      <c r="I5" s="82" t="s">
        <v>1</v>
      </c>
    </row>
    <row r="6" spans="2:9" s="17" customFormat="1" ht="12.75">
      <c r="B6" s="46"/>
      <c r="C6" s="47"/>
      <c r="D6" s="28"/>
      <c r="E6" s="48" t="s">
        <v>7</v>
      </c>
      <c r="F6" s="92"/>
      <c r="G6" s="61" t="s">
        <v>8</v>
      </c>
      <c r="H6" s="62" t="str">
        <f>'Sch B'!H6</f>
        <v>June 2002</v>
      </c>
      <c r="I6" s="88" t="s">
        <v>90</v>
      </c>
    </row>
    <row r="7" spans="2:9" s="17" customFormat="1" ht="22.5" customHeight="1">
      <c r="B7" s="73"/>
      <c r="C7" s="74" t="s">
        <v>87</v>
      </c>
      <c r="D7" s="75"/>
      <c r="E7" s="76"/>
      <c r="F7" s="93"/>
      <c r="G7" s="45"/>
      <c r="H7" s="59"/>
      <c r="I7" s="82"/>
    </row>
    <row r="8" spans="2:9" s="17" customFormat="1" ht="20.25" customHeight="1">
      <c r="B8" s="111" t="s">
        <v>9</v>
      </c>
      <c r="C8" s="112"/>
      <c r="D8" s="113"/>
      <c r="E8" s="70"/>
      <c r="F8" s="93"/>
      <c r="G8" s="45"/>
      <c r="H8" s="59"/>
      <c r="I8" s="82"/>
    </row>
    <row r="9" spans="2:9" s="17" customFormat="1" ht="15" customHeight="1">
      <c r="B9" s="49" t="s">
        <v>10</v>
      </c>
      <c r="D9" s="50"/>
      <c r="E9" s="51"/>
      <c r="F9" s="94" t="s">
        <v>11</v>
      </c>
      <c r="G9" s="65">
        <f>1111323</f>
        <v>1111323</v>
      </c>
      <c r="H9" s="55"/>
      <c r="I9" s="123">
        <f>G9+H9</f>
        <v>1111323</v>
      </c>
    </row>
    <row r="10" spans="2:9" s="17" customFormat="1" ht="15" customHeight="1">
      <c r="B10" s="49" t="s">
        <v>74</v>
      </c>
      <c r="D10" s="50"/>
      <c r="E10" s="51">
        <v>0.098</v>
      </c>
      <c r="F10" s="94" t="s">
        <v>11</v>
      </c>
      <c r="G10" s="65">
        <v>1427903</v>
      </c>
      <c r="H10" s="55"/>
      <c r="I10" s="123">
        <f aca="true" t="shared" si="0" ref="I10:I18">G10+H10</f>
        <v>1427903</v>
      </c>
    </row>
    <row r="11" spans="2:9" s="17" customFormat="1" ht="15" customHeight="1">
      <c r="B11" s="49" t="s">
        <v>12</v>
      </c>
      <c r="D11" s="50"/>
      <c r="E11" s="51" t="s">
        <v>13</v>
      </c>
      <c r="F11" s="94" t="s">
        <v>11</v>
      </c>
      <c r="G11" s="65">
        <v>7156722</v>
      </c>
      <c r="H11" s="55"/>
      <c r="I11" s="123">
        <f t="shared" si="0"/>
        <v>7156722</v>
      </c>
    </row>
    <row r="12" spans="2:9" s="17" customFormat="1" ht="15" customHeight="1">
      <c r="B12" s="49" t="s">
        <v>75</v>
      </c>
      <c r="D12" s="50"/>
      <c r="E12" s="51" t="s">
        <v>14</v>
      </c>
      <c r="F12" s="94" t="s">
        <v>11</v>
      </c>
      <c r="G12" s="65">
        <v>19218236</v>
      </c>
      <c r="H12" s="55"/>
      <c r="I12" s="123">
        <f t="shared" si="0"/>
        <v>19218236</v>
      </c>
    </row>
    <row r="13" spans="2:9" s="17" customFormat="1" ht="15" customHeight="1">
      <c r="B13" s="49" t="s">
        <v>15</v>
      </c>
      <c r="D13" s="50"/>
      <c r="E13" s="51">
        <v>0.0905</v>
      </c>
      <c r="F13" s="94" t="s">
        <v>11</v>
      </c>
      <c r="G13" s="65">
        <v>1079093</v>
      </c>
      <c r="H13" s="55"/>
      <c r="I13" s="123">
        <f t="shared" si="0"/>
        <v>1079093</v>
      </c>
    </row>
    <row r="14" spans="2:9" s="17" customFormat="1" ht="15" customHeight="1">
      <c r="B14" s="49" t="s">
        <v>76</v>
      </c>
      <c r="D14" s="50"/>
      <c r="E14" s="51"/>
      <c r="F14" s="94" t="s">
        <v>11</v>
      </c>
      <c r="G14" s="65">
        <v>502491.84</v>
      </c>
      <c r="H14" s="55"/>
      <c r="I14" s="123">
        <f t="shared" si="0"/>
        <v>502491.84</v>
      </c>
    </row>
    <row r="15" spans="2:9" s="17" customFormat="1" ht="15" customHeight="1">
      <c r="B15" s="49" t="s">
        <v>77</v>
      </c>
      <c r="D15" s="50"/>
      <c r="E15" s="51">
        <v>0.093</v>
      </c>
      <c r="F15" s="94" t="s">
        <v>11</v>
      </c>
      <c r="G15" s="65">
        <v>7212069</v>
      </c>
      <c r="H15" s="55"/>
      <c r="I15" s="123">
        <f t="shared" si="0"/>
        <v>7212069</v>
      </c>
    </row>
    <row r="16" spans="2:9" s="17" customFormat="1" ht="15" customHeight="1">
      <c r="B16" s="49" t="s">
        <v>16</v>
      </c>
      <c r="D16" s="50"/>
      <c r="E16" s="51" t="s">
        <v>17</v>
      </c>
      <c r="F16" s="94" t="s">
        <v>11</v>
      </c>
      <c r="G16" s="65">
        <v>6771276</v>
      </c>
      <c r="H16" s="55"/>
      <c r="I16" s="123">
        <f t="shared" si="0"/>
        <v>6771276</v>
      </c>
    </row>
    <row r="17" spans="2:9" s="17" customFormat="1" ht="15" customHeight="1">
      <c r="B17" s="49" t="s">
        <v>78</v>
      </c>
      <c r="D17" s="50"/>
      <c r="E17" s="51" t="s">
        <v>18</v>
      </c>
      <c r="F17" s="94" t="s">
        <v>11</v>
      </c>
      <c r="G17" s="65">
        <v>2893667</v>
      </c>
      <c r="H17" s="55"/>
      <c r="I17" s="123">
        <f t="shared" si="0"/>
        <v>2893667</v>
      </c>
    </row>
    <row r="18" spans="2:9" s="17" customFormat="1" ht="15" customHeight="1">
      <c r="B18" s="49" t="s">
        <v>79</v>
      </c>
      <c r="D18" s="50"/>
      <c r="E18" s="51">
        <v>0.1027</v>
      </c>
      <c r="F18" s="94" t="s">
        <v>11</v>
      </c>
      <c r="G18" s="85">
        <v>12371853</v>
      </c>
      <c r="H18" s="86"/>
      <c r="I18" s="124">
        <f t="shared" si="0"/>
        <v>12371853</v>
      </c>
    </row>
    <row r="19" spans="2:9" s="17" customFormat="1" ht="18" customHeight="1">
      <c r="B19" s="43" t="s">
        <v>19</v>
      </c>
      <c r="D19" s="25"/>
      <c r="E19" s="44"/>
      <c r="F19" s="94" t="s">
        <v>11</v>
      </c>
      <c r="G19" s="63">
        <f>SUM(G8:G18)</f>
        <v>59744633.84</v>
      </c>
      <c r="H19" s="64">
        <f>SUM(H8:H18)</f>
        <v>0</v>
      </c>
      <c r="I19" s="125">
        <f>SUM(I8:I18)</f>
        <v>59744633.84</v>
      </c>
    </row>
    <row r="20" spans="2:9" s="17" customFormat="1" ht="12" customHeight="1">
      <c r="B20" s="114"/>
      <c r="C20" s="55"/>
      <c r="D20" s="97"/>
      <c r="E20" s="51"/>
      <c r="F20" s="94"/>
      <c r="G20" s="65"/>
      <c r="H20" s="55"/>
      <c r="I20" s="123"/>
    </row>
    <row r="21" spans="2:9" s="17" customFormat="1" ht="20.25" customHeight="1">
      <c r="B21" s="111" t="s">
        <v>20</v>
      </c>
      <c r="C21" s="115"/>
      <c r="D21" s="116"/>
      <c r="E21" s="68"/>
      <c r="F21" s="94"/>
      <c r="G21" s="65"/>
      <c r="H21" s="55"/>
      <c r="I21" s="123"/>
    </row>
    <row r="22" ht="3" customHeight="1">
      <c r="E22" s="51"/>
    </row>
    <row r="23" spans="2:9" s="17" customFormat="1" ht="15" customHeight="1">
      <c r="B23" s="49" t="s">
        <v>74</v>
      </c>
      <c r="D23" s="50"/>
      <c r="E23" s="51">
        <v>0.1</v>
      </c>
      <c r="F23" s="94" t="s">
        <v>21</v>
      </c>
      <c r="G23" s="65">
        <v>2000000</v>
      </c>
      <c r="H23" s="55">
        <f>1616484+26521+26715+26911+27109+27307+27508+27709+27913+28117</f>
        <v>1862294</v>
      </c>
      <c r="I23" s="123">
        <f>G23+H23</f>
        <v>3862294</v>
      </c>
    </row>
    <row r="24" spans="2:9" s="17" customFormat="1" ht="15" customHeight="1">
      <c r="B24" s="49" t="s">
        <v>74</v>
      </c>
      <c r="D24" s="50"/>
      <c r="E24" s="51"/>
      <c r="F24" s="94" t="s">
        <v>21</v>
      </c>
      <c r="G24" s="65">
        <v>0</v>
      </c>
      <c r="H24" s="55">
        <f>1786826.47</f>
        <v>1786826.47</v>
      </c>
      <c r="I24" s="123">
        <f>G24+H24</f>
        <v>1786826.47</v>
      </c>
    </row>
    <row r="25" spans="2:9" s="17" customFormat="1" ht="15" customHeight="1">
      <c r="B25" s="49" t="s">
        <v>22</v>
      </c>
      <c r="D25" s="50" t="s">
        <v>23</v>
      </c>
      <c r="E25" s="51">
        <v>0.1</v>
      </c>
      <c r="F25" s="94" t="s">
        <v>21</v>
      </c>
      <c r="G25" s="65">
        <v>7500000</v>
      </c>
      <c r="H25" s="55">
        <f>2571076+73855+74396+74942+75491+76045+76603+77164+77730+78300</f>
        <v>3255602</v>
      </c>
      <c r="I25" s="123">
        <f aca="true" t="shared" si="1" ref="I25:I32">G25+H25</f>
        <v>10755602</v>
      </c>
    </row>
    <row r="26" spans="2:9" s="17" customFormat="1" ht="15" customHeight="1">
      <c r="B26" s="49" t="s">
        <v>80</v>
      </c>
      <c r="D26" s="50"/>
      <c r="E26" s="51">
        <v>0.1</v>
      </c>
      <c r="F26" s="94" t="s">
        <v>21</v>
      </c>
      <c r="G26" s="65">
        <v>15000000</v>
      </c>
      <c r="H26" s="55">
        <f>4992375+138281+139237+140200+141170+142146+143129+144119+145116+146120</f>
        <v>6271893</v>
      </c>
      <c r="I26" s="123">
        <f t="shared" si="1"/>
        <v>21271893</v>
      </c>
    </row>
    <row r="27" spans="2:9" s="17" customFormat="1" ht="15" customHeight="1">
      <c r="B27" s="49" t="s">
        <v>89</v>
      </c>
      <c r="D27" s="50"/>
      <c r="E27" s="51">
        <v>0.1</v>
      </c>
      <c r="F27" s="94" t="s">
        <v>21</v>
      </c>
      <c r="G27" s="65">
        <v>4775000</v>
      </c>
      <c r="H27" s="55">
        <f>1428526.14+21499+45650+45985+46322+46726+47068+47414</f>
        <v>1729190.14</v>
      </c>
      <c r="I27" s="123">
        <f t="shared" si="1"/>
        <v>6504190.14</v>
      </c>
    </row>
    <row r="28" spans="2:9" s="17" customFormat="1" ht="15" customHeight="1">
      <c r="B28" s="49" t="s">
        <v>81</v>
      </c>
      <c r="D28" s="50"/>
      <c r="E28" s="51">
        <v>0.1</v>
      </c>
      <c r="F28" s="94" t="s">
        <v>21</v>
      </c>
      <c r="G28" s="65">
        <v>5000000</v>
      </c>
      <c r="H28" s="55">
        <f>1833108+52957+53367+53781+54197+54617+55041+55467+55897+56330</f>
        <v>2324762</v>
      </c>
      <c r="I28" s="123">
        <f t="shared" si="1"/>
        <v>7324762</v>
      </c>
    </row>
    <row r="29" spans="2:9" s="17" customFormat="1" ht="15" customHeight="1">
      <c r="B29" s="49" t="s">
        <v>82</v>
      </c>
      <c r="D29" s="50" t="s">
        <v>25</v>
      </c>
      <c r="E29" s="51">
        <v>0.1</v>
      </c>
      <c r="F29" s="94" t="s">
        <v>21</v>
      </c>
      <c r="G29" s="65">
        <v>15000000</v>
      </c>
      <c r="H29" s="55">
        <f>8190899+170067+171314+172570+173836+175110+176395+177688+178991+180304</f>
        <v>9767174</v>
      </c>
      <c r="I29" s="123">
        <f t="shared" si="1"/>
        <v>24767174</v>
      </c>
    </row>
    <row r="30" spans="2:9" s="17" customFormat="1" ht="15" customHeight="1">
      <c r="B30" s="49" t="s">
        <v>82</v>
      </c>
      <c r="D30" s="50" t="s">
        <v>25</v>
      </c>
      <c r="E30" s="51">
        <v>0.1</v>
      </c>
      <c r="F30" s="94" t="s">
        <v>21</v>
      </c>
      <c r="G30" s="65">
        <v>10000000</v>
      </c>
      <c r="H30" s="55">
        <f>679695+78318+78892+79471+80053+80640+81232+81828+82428+83032</f>
        <v>1405589</v>
      </c>
      <c r="I30" s="123">
        <f t="shared" si="1"/>
        <v>11405589</v>
      </c>
    </row>
    <row r="31" spans="2:9" s="17" customFormat="1" ht="15" customHeight="1">
      <c r="B31" s="49" t="s">
        <v>26</v>
      </c>
      <c r="D31" s="50"/>
      <c r="E31" s="51">
        <v>0.1</v>
      </c>
      <c r="F31" s="94" t="s">
        <v>21</v>
      </c>
      <c r="G31" s="65">
        <v>10000000</v>
      </c>
      <c r="H31" s="55">
        <f>3442660+92978+93622+94269+94921+95578+96239+96429+97096+97768</f>
        <v>4301560</v>
      </c>
      <c r="I31" s="123">
        <f t="shared" si="1"/>
        <v>14301560</v>
      </c>
    </row>
    <row r="32" spans="2:9" s="17" customFormat="1" ht="15" customHeight="1">
      <c r="B32" s="49" t="s">
        <v>83</v>
      </c>
      <c r="D32" s="50"/>
      <c r="E32" s="51"/>
      <c r="F32" s="94" t="s">
        <v>21</v>
      </c>
      <c r="G32" s="65">
        <v>5000000</v>
      </c>
      <c r="H32" s="55">
        <f>1649939+48766+49124+49484+49847+50213+50581+50952+51325+51702</f>
        <v>2101933</v>
      </c>
      <c r="I32" s="123">
        <f t="shared" si="1"/>
        <v>7101933</v>
      </c>
    </row>
    <row r="33" spans="5:9" ht="6" customHeight="1">
      <c r="E33" s="51"/>
      <c r="F33" s="95"/>
      <c r="G33" s="85"/>
      <c r="H33" s="86"/>
      <c r="I33" s="124"/>
    </row>
    <row r="34" spans="2:9" s="17" customFormat="1" ht="18" customHeight="1">
      <c r="B34" s="43" t="s">
        <v>19</v>
      </c>
      <c r="C34" s="21"/>
      <c r="D34" s="25"/>
      <c r="E34" s="44"/>
      <c r="F34" s="94"/>
      <c r="G34" s="126">
        <f>SUM(G22:G33)</f>
        <v>74275000</v>
      </c>
      <c r="H34" s="64">
        <f>SUM(H22:H33)-0.49</f>
        <v>34806823.12</v>
      </c>
      <c r="I34" s="127">
        <f>SUM(I22:I33)</f>
        <v>109081823.61</v>
      </c>
    </row>
    <row r="35" spans="2:9" s="17" customFormat="1" ht="12.75">
      <c r="B35" s="117"/>
      <c r="C35" s="64"/>
      <c r="D35" s="59"/>
      <c r="E35" s="44"/>
      <c r="F35" s="94"/>
      <c r="G35" s="63"/>
      <c r="H35" s="64"/>
      <c r="I35" s="125"/>
    </row>
    <row r="36" spans="2:9" s="21" customFormat="1" ht="18" customHeight="1">
      <c r="B36" s="117" t="s">
        <v>27</v>
      </c>
      <c r="C36" s="64"/>
      <c r="D36" s="59" t="s">
        <v>23</v>
      </c>
      <c r="E36" s="69"/>
      <c r="F36" s="93" t="s">
        <v>28</v>
      </c>
      <c r="G36" s="63">
        <v>1406053.95</v>
      </c>
      <c r="H36" s="64">
        <f>140605.4+395</f>
        <v>141000.4</v>
      </c>
      <c r="I36" s="125">
        <f>G36+H36</f>
        <v>1547054.3499999999</v>
      </c>
    </row>
    <row r="37" spans="2:9" s="17" customFormat="1" ht="12.75">
      <c r="B37" s="117"/>
      <c r="C37" s="64"/>
      <c r="D37" s="59"/>
      <c r="E37" s="44"/>
      <c r="F37" s="94"/>
      <c r="G37" s="63"/>
      <c r="H37" s="64"/>
      <c r="I37" s="125"/>
    </row>
    <row r="38" spans="2:9" s="17" customFormat="1" ht="21" customHeight="1">
      <c r="B38" s="111" t="s">
        <v>29</v>
      </c>
      <c r="C38" s="115"/>
      <c r="D38" s="116"/>
      <c r="E38" s="68"/>
      <c r="F38" s="94"/>
      <c r="G38" s="63"/>
      <c r="H38" s="64"/>
      <c r="I38" s="125"/>
    </row>
    <row r="39" spans="2:9" s="17" customFormat="1" ht="15" customHeight="1">
      <c r="B39" s="49" t="s">
        <v>27</v>
      </c>
      <c r="D39" s="50" t="s">
        <v>23</v>
      </c>
      <c r="E39" s="51" t="s">
        <v>30</v>
      </c>
      <c r="F39" s="94" t="s">
        <v>31</v>
      </c>
      <c r="G39" s="65">
        <f>4666667</f>
        <v>4666667</v>
      </c>
      <c r="H39" s="55">
        <f>1689830+48998+49376+49756+50140+50526+50916+51308+51704+52102</f>
        <v>2144656</v>
      </c>
      <c r="I39" s="123">
        <f aca="true" t="shared" si="2" ref="I39:I54">G39+H39</f>
        <v>6811323</v>
      </c>
    </row>
    <row r="40" spans="2:9" s="17" customFormat="1" ht="15" customHeight="1">
      <c r="B40" s="49" t="s">
        <v>27</v>
      </c>
      <c r="D40" s="50"/>
      <c r="E40" s="51">
        <v>0.1</v>
      </c>
      <c r="F40" s="94" t="s">
        <v>31</v>
      </c>
      <c r="G40" s="65">
        <v>5000000</v>
      </c>
      <c r="H40" s="55">
        <f>835860+38906+39165+39426+39689+39954+40220+40488+40758+41030</f>
        <v>1195496</v>
      </c>
      <c r="I40" s="123">
        <f t="shared" si="2"/>
        <v>6195496</v>
      </c>
    </row>
    <row r="41" spans="2:9" s="17" customFormat="1" ht="15" customHeight="1">
      <c r="B41" s="49" t="s">
        <v>77</v>
      </c>
      <c r="D41" s="50"/>
      <c r="E41" s="51">
        <v>0.0905</v>
      </c>
      <c r="F41" s="94" t="s">
        <v>32</v>
      </c>
      <c r="G41" s="65">
        <f>1046885.46</f>
        <v>1046885.46</v>
      </c>
      <c r="H41" s="55">
        <f>11126876+79129+79644+80161+80683+81207+81735+82266+82801+83339</f>
        <v>11857841</v>
      </c>
      <c r="I41" s="123">
        <f>G41+H41</f>
        <v>12904726.46</v>
      </c>
    </row>
    <row r="42" spans="2:9" s="17" customFormat="1" ht="15" customHeight="1">
      <c r="B42" s="49" t="s">
        <v>84</v>
      </c>
      <c r="D42" s="50"/>
      <c r="E42" s="51">
        <v>0.1093</v>
      </c>
      <c r="F42" s="94" t="s">
        <v>32</v>
      </c>
      <c r="G42" s="65">
        <f>34989217</f>
        <v>34989217</v>
      </c>
      <c r="H42" s="55">
        <f>8118857+357241+360204+363190+366202+369434+372498+375586+378701+381841</f>
        <v>11443754</v>
      </c>
      <c r="I42" s="123">
        <f>G42+H42</f>
        <v>46432971</v>
      </c>
    </row>
    <row r="43" spans="2:9" s="17" customFormat="1" ht="15" customHeight="1">
      <c r="B43" s="49" t="s">
        <v>27</v>
      </c>
      <c r="D43" s="50" t="s">
        <v>23</v>
      </c>
      <c r="E43" s="51">
        <v>0.1</v>
      </c>
      <c r="F43" s="94" t="s">
        <v>33</v>
      </c>
      <c r="G43" s="65">
        <f>4064052</f>
        <v>4064052</v>
      </c>
      <c r="H43" s="55">
        <f>406405.2-395</f>
        <v>406010.2</v>
      </c>
      <c r="I43" s="123">
        <f>G43+H43</f>
        <v>4470062.2</v>
      </c>
    </row>
    <row r="44" spans="2:9" s="17" customFormat="1" ht="15" customHeight="1">
      <c r="B44" s="49" t="s">
        <v>82</v>
      </c>
      <c r="D44" s="50"/>
      <c r="E44" s="51" t="s">
        <v>34</v>
      </c>
      <c r="F44" s="94" t="s">
        <v>35</v>
      </c>
      <c r="G44" s="65">
        <v>20000000</v>
      </c>
      <c r="H44" s="55">
        <f>11894984+261726+266726+271726+276726+281726+286726+291726</f>
        <v>13832066</v>
      </c>
      <c r="I44" s="123">
        <f t="shared" si="2"/>
        <v>33832066</v>
      </c>
    </row>
    <row r="45" spans="2:9" s="17" customFormat="1" ht="15" customHeight="1">
      <c r="B45" s="49" t="s">
        <v>80</v>
      </c>
      <c r="D45" s="50"/>
      <c r="E45" s="51" t="s">
        <v>34</v>
      </c>
      <c r="F45" s="94" t="s">
        <v>35</v>
      </c>
      <c r="G45" s="65">
        <v>10000000</v>
      </c>
      <c r="H45" s="55">
        <v>0</v>
      </c>
      <c r="I45" s="123">
        <f t="shared" si="2"/>
        <v>10000000</v>
      </c>
    </row>
    <row r="46" spans="2:9" s="17" customFormat="1" ht="15" customHeight="1">
      <c r="B46" s="49" t="s">
        <v>27</v>
      </c>
      <c r="D46" s="50"/>
      <c r="E46" s="51">
        <v>0.15</v>
      </c>
      <c r="F46" s="94" t="s">
        <v>35</v>
      </c>
      <c r="G46" s="65">
        <v>31161993</v>
      </c>
      <c r="H46" s="55">
        <v>0</v>
      </c>
      <c r="I46" s="123">
        <f t="shared" si="2"/>
        <v>31161993</v>
      </c>
    </row>
    <row r="47" spans="2:9" s="17" customFormat="1" ht="15" customHeight="1">
      <c r="B47" s="49" t="s">
        <v>36</v>
      </c>
      <c r="D47" s="50"/>
      <c r="E47" s="51">
        <v>0.15</v>
      </c>
      <c r="F47" s="94" t="s">
        <v>35</v>
      </c>
      <c r="G47" s="65">
        <v>50664231</v>
      </c>
      <c r="H47" s="55">
        <v>0</v>
      </c>
      <c r="I47" s="123">
        <f t="shared" si="2"/>
        <v>50664231</v>
      </c>
    </row>
    <row r="48" spans="2:9" s="17" customFormat="1" ht="15" customHeight="1">
      <c r="B48" s="49" t="s">
        <v>77</v>
      </c>
      <c r="D48" s="50"/>
      <c r="E48" s="51">
        <v>0.15</v>
      </c>
      <c r="F48" s="94" t="s">
        <v>35</v>
      </c>
      <c r="G48" s="65">
        <v>16888077</v>
      </c>
      <c r="H48" s="55">
        <v>0</v>
      </c>
      <c r="I48" s="123">
        <f t="shared" si="2"/>
        <v>16888077</v>
      </c>
    </row>
    <row r="49" spans="2:9" s="17" customFormat="1" ht="15" customHeight="1">
      <c r="B49" s="49" t="s">
        <v>85</v>
      </c>
      <c r="D49" s="50"/>
      <c r="E49" s="51">
        <v>0.082</v>
      </c>
      <c r="F49" s="94" t="s">
        <v>31</v>
      </c>
      <c r="G49" s="65">
        <v>5000000</v>
      </c>
      <c r="H49" s="55">
        <f>1920257+46263+42507+43046+43796+44546+45296+46046+46796+47546</f>
        <v>2326099</v>
      </c>
      <c r="I49" s="123">
        <f>G49+H49</f>
        <v>7326099</v>
      </c>
    </row>
    <row r="50" spans="2:9" s="17" customFormat="1" ht="15" customHeight="1">
      <c r="B50" s="49" t="s">
        <v>82</v>
      </c>
      <c r="D50" s="50"/>
      <c r="E50" s="51">
        <v>0.077</v>
      </c>
      <c r="F50" s="94" t="s">
        <v>31</v>
      </c>
      <c r="G50" s="65">
        <v>15000000</v>
      </c>
      <c r="H50" s="55">
        <f>2578009+112662+104099+109290+115290+118290+121290+124290+127290+130290</f>
        <v>3640800</v>
      </c>
      <c r="I50" s="123">
        <f t="shared" si="2"/>
        <v>18640800</v>
      </c>
    </row>
    <row r="51" spans="2:9" s="17" customFormat="1" ht="15" customHeight="1">
      <c r="B51" s="49" t="s">
        <v>80</v>
      </c>
      <c r="D51" s="50"/>
      <c r="E51" s="51">
        <v>0.0944</v>
      </c>
      <c r="F51" s="94" t="s">
        <v>31</v>
      </c>
      <c r="G51" s="65">
        <f>8900000-7177419.35+890000</f>
        <v>2612580.6500000004</v>
      </c>
      <c r="H51" s="55">
        <f>1670929+(597274*2612581/8900000)</f>
        <v>1846257.8431678652</v>
      </c>
      <c r="I51" s="123">
        <f t="shared" si="2"/>
        <v>4458838.493167866</v>
      </c>
    </row>
    <row r="52" spans="2:9" s="17" customFormat="1" ht="15" customHeight="1">
      <c r="B52" s="49" t="s">
        <v>81</v>
      </c>
      <c r="D52" s="50" t="s">
        <v>37</v>
      </c>
      <c r="E52" s="51"/>
      <c r="F52" s="94" t="s">
        <v>31</v>
      </c>
      <c r="G52" s="65">
        <f>4700000-10303846/3+1410000/3</f>
        <v>1735384.6666666665</v>
      </c>
      <c r="H52" s="55">
        <f>471561+229705+36881+36480+36080+35678+35277+34877+34476+34075+33674+33273+32872+32471</f>
        <v>1117380</v>
      </c>
      <c r="I52" s="123">
        <f t="shared" si="2"/>
        <v>2852764.6666666665</v>
      </c>
    </row>
    <row r="53" spans="2:9" s="17" customFormat="1" ht="15" customHeight="1">
      <c r="B53" s="49" t="s">
        <v>81</v>
      </c>
      <c r="D53" s="50" t="s">
        <v>37</v>
      </c>
      <c r="E53" s="51"/>
      <c r="F53" s="94" t="s">
        <v>31</v>
      </c>
      <c r="G53" s="65">
        <f>4700000-10303846/3+1410000/3</f>
        <v>1735384.6666666665</v>
      </c>
      <c r="H53" s="55">
        <f>471561+229705+36881+36480+36080+35678+35277+34877+34476+34075+33674+33273+32872+32471</f>
        <v>1117380</v>
      </c>
      <c r="I53" s="123">
        <f t="shared" si="2"/>
        <v>2852764.6666666665</v>
      </c>
    </row>
    <row r="54" spans="1:9" s="17" customFormat="1" ht="15" customHeight="1">
      <c r="A54" s="55"/>
      <c r="B54" s="114" t="s">
        <v>81</v>
      </c>
      <c r="C54" s="55"/>
      <c r="D54" s="97" t="s">
        <v>37</v>
      </c>
      <c r="E54" s="94"/>
      <c r="F54" s="94" t="s">
        <v>31</v>
      </c>
      <c r="G54" s="85">
        <f>4700000-10303846/3+1410000/3</f>
        <v>1735384.6666666665</v>
      </c>
      <c r="H54" s="86">
        <f>471561+229705+36881+36480+36080+35678+35278+34877+34476+34075+33674+33273+32872+32471</f>
        <v>1117381</v>
      </c>
      <c r="I54" s="124">
        <f t="shared" si="2"/>
        <v>2852765.6666666665</v>
      </c>
    </row>
    <row r="55" spans="1:9" s="17" customFormat="1" ht="21" customHeight="1">
      <c r="A55" s="55"/>
      <c r="B55" s="114"/>
      <c r="C55" s="55"/>
      <c r="D55" s="97"/>
      <c r="E55" s="94"/>
      <c r="F55" s="94"/>
      <c r="G55" s="63">
        <f>SUM(G38:G54)</f>
        <v>206299857.10999998</v>
      </c>
      <c r="H55" s="64">
        <f>SUM(H38:H54)-0.49</f>
        <v>52045120.553167865</v>
      </c>
      <c r="I55" s="125">
        <f>SUM(I38:I54)</f>
        <v>258344978.15316787</v>
      </c>
    </row>
    <row r="56" spans="1:9" s="17" customFormat="1" ht="21" customHeight="1">
      <c r="A56" s="55"/>
      <c r="B56" s="111" t="s">
        <v>38</v>
      </c>
      <c r="C56" s="55"/>
      <c r="D56" s="97"/>
      <c r="E56" s="94"/>
      <c r="F56" s="94"/>
      <c r="G56" s="65"/>
      <c r="H56" s="55"/>
      <c r="I56" s="123"/>
    </row>
    <row r="57" spans="1:9" s="17" customFormat="1" ht="15" customHeight="1">
      <c r="A57" s="55"/>
      <c r="B57" s="114" t="s">
        <v>86</v>
      </c>
      <c r="C57" s="55"/>
      <c r="D57" s="97"/>
      <c r="E57" s="94">
        <v>0.0944</v>
      </c>
      <c r="F57" s="94" t="s">
        <v>31</v>
      </c>
      <c r="G57" s="65">
        <f>8900000-1722580.65-890000</f>
        <v>6287419.35</v>
      </c>
      <c r="H57" s="55">
        <f>4021247+(597274*6287419/8900000)</f>
        <v>4443192.156832134</v>
      </c>
      <c r="I57" s="123">
        <f>G57+H57</f>
        <v>10730611.506832134</v>
      </c>
    </row>
    <row r="58" spans="1:9" s="17" customFormat="1" ht="15" customHeight="1">
      <c r="A58" s="55"/>
      <c r="B58" s="114" t="s">
        <v>81</v>
      </c>
      <c r="C58" s="55"/>
      <c r="D58" s="97" t="s">
        <v>37</v>
      </c>
      <c r="E58" s="94"/>
      <c r="F58" s="94" t="s">
        <v>31</v>
      </c>
      <c r="G58" s="85">
        <f>14100000-3796154-1410000</f>
        <v>8893846</v>
      </c>
      <c r="H58" s="86">
        <v>2416752.45804106</v>
      </c>
      <c r="I58" s="124">
        <f>G58+H58</f>
        <v>11310598.45804106</v>
      </c>
    </row>
    <row r="59" spans="1:9" s="17" customFormat="1" ht="12.75" hidden="1">
      <c r="A59" s="55"/>
      <c r="B59" s="114" t="s">
        <v>24</v>
      </c>
      <c r="C59" s="55"/>
      <c r="D59" s="97"/>
      <c r="E59" s="94"/>
      <c r="F59" s="94" t="s">
        <v>31</v>
      </c>
      <c r="G59" s="65"/>
      <c r="H59" s="55"/>
      <c r="I59" s="123"/>
    </row>
    <row r="60" spans="1:9" s="17" customFormat="1" ht="12.75" hidden="1">
      <c r="A60" s="55"/>
      <c r="B60" s="114" t="s">
        <v>24</v>
      </c>
      <c r="C60" s="55"/>
      <c r="D60" s="97"/>
      <c r="E60" s="94"/>
      <c r="F60" s="94" t="s">
        <v>31</v>
      </c>
      <c r="G60" s="65"/>
      <c r="H60" s="55"/>
      <c r="I60" s="123"/>
    </row>
    <row r="61" spans="1:9" s="17" customFormat="1" ht="21" customHeight="1">
      <c r="A61" s="55"/>
      <c r="B61" s="117" t="s">
        <v>19</v>
      </c>
      <c r="C61" s="64"/>
      <c r="D61" s="59"/>
      <c r="E61" s="93"/>
      <c r="F61" s="94"/>
      <c r="G61" s="63">
        <f>SUM(G57:G60)</f>
        <v>15181265.35</v>
      </c>
      <c r="H61" s="64">
        <f>SUM(H57:H60)-0.49</f>
        <v>6859944.124873194</v>
      </c>
      <c r="I61" s="125">
        <f>SUM(I57:I60)</f>
        <v>22041209.964873195</v>
      </c>
    </row>
    <row r="62" spans="2:9" s="17" customFormat="1" ht="18" customHeight="1">
      <c r="B62" s="49"/>
      <c r="D62" s="50"/>
      <c r="E62" s="51"/>
      <c r="F62" s="94"/>
      <c r="G62" s="65"/>
      <c r="H62" s="55"/>
      <c r="I62" s="123"/>
    </row>
    <row r="63" spans="2:9" s="17" customFormat="1" ht="21" customHeight="1">
      <c r="B63" s="43" t="s">
        <v>98</v>
      </c>
      <c r="C63" s="21"/>
      <c r="D63" s="25"/>
      <c r="E63" s="44"/>
      <c r="F63" s="94"/>
      <c r="G63" s="63">
        <f>G19+G34+G55+G61+G36</f>
        <v>356906810.25</v>
      </c>
      <c r="H63" s="64">
        <f>H19+H34+H55+H61+H36</f>
        <v>93852888.19804105</v>
      </c>
      <c r="I63" s="125">
        <f>I19+I34+I55+I61+I36</f>
        <v>450759699.9180411</v>
      </c>
    </row>
    <row r="64" spans="2:9" s="17" customFormat="1" ht="13.5" thickBot="1">
      <c r="B64" s="52"/>
      <c r="C64" s="20"/>
      <c r="D64" s="53"/>
      <c r="E64" s="54"/>
      <c r="F64" s="96"/>
      <c r="G64" s="66"/>
      <c r="H64" s="67"/>
      <c r="I64" s="89"/>
    </row>
    <row r="65" spans="4:9" s="17" customFormat="1" ht="12.75">
      <c r="D65" s="50"/>
      <c r="E65" s="50"/>
      <c r="F65" s="97"/>
      <c r="G65" s="55"/>
      <c r="H65" s="55"/>
      <c r="I65" s="55"/>
    </row>
    <row r="66" spans="5:9" s="17" customFormat="1" ht="12.75">
      <c r="E66" s="50"/>
      <c r="F66" s="97"/>
      <c r="G66" s="55"/>
      <c r="H66" s="55"/>
      <c r="I66" s="55"/>
    </row>
    <row r="67" spans="2:9" s="17" customFormat="1" ht="12.75">
      <c r="B67" s="4" t="s">
        <v>39</v>
      </c>
      <c r="D67" s="50"/>
      <c r="E67" s="50"/>
      <c r="F67" s="97"/>
      <c r="G67" s="55"/>
      <c r="H67" s="55"/>
      <c r="I67" s="55"/>
    </row>
    <row r="68" spans="2:9" s="17" customFormat="1" ht="12.75">
      <c r="B68" s="4" t="s">
        <v>40</v>
      </c>
      <c r="D68" s="50"/>
      <c r="E68" s="50"/>
      <c r="F68" s="97"/>
      <c r="G68" s="55"/>
      <c r="H68" s="55"/>
      <c r="I68" s="55"/>
    </row>
    <row r="69" spans="2:9" s="17" customFormat="1" ht="12.75">
      <c r="B69" s="4" t="s">
        <v>88</v>
      </c>
      <c r="D69" s="50"/>
      <c r="E69" s="50"/>
      <c r="F69" s="97"/>
      <c r="G69" s="55"/>
      <c r="H69" s="55"/>
      <c r="I69" s="55"/>
    </row>
    <row r="70" spans="4:9" s="17" customFormat="1" ht="12.75">
      <c r="D70" s="50"/>
      <c r="E70" s="50"/>
      <c r="F70" s="97"/>
      <c r="G70" s="55"/>
      <c r="H70" s="55"/>
      <c r="I70" s="55"/>
    </row>
    <row r="71" spans="4:9" s="17" customFormat="1" ht="12.75">
      <c r="D71" s="50"/>
      <c r="E71" s="50"/>
      <c r="F71" s="97"/>
      <c r="G71" s="55"/>
      <c r="H71" s="55"/>
      <c r="I71" s="55"/>
    </row>
    <row r="72" spans="4:9" s="17" customFormat="1" ht="12.75">
      <c r="D72" s="50"/>
      <c r="E72" s="50"/>
      <c r="F72" s="97"/>
      <c r="G72" s="55"/>
      <c r="H72" s="55"/>
      <c r="I72" s="55"/>
    </row>
    <row r="73" ht="12.75">
      <c r="F73" s="98"/>
    </row>
    <row r="74" ht="12.75">
      <c r="F74" s="98"/>
    </row>
    <row r="75" ht="12.75">
      <c r="F75" s="98"/>
    </row>
    <row r="76" ht="12.75">
      <c r="F76" s="98"/>
    </row>
  </sheetData>
  <printOptions horizontalCentered="1"/>
  <pageMargins left="0.22" right="0.16" top="0.65" bottom="0.18" header="0.55" footer="0.18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7"/>
  <sheetViews>
    <sheetView tabSelected="1" zoomScale="80" zoomScaleNormal="80" workbookViewId="0" topLeftCell="A1">
      <selection activeCell="C63" sqref="C63"/>
    </sheetView>
  </sheetViews>
  <sheetFormatPr defaultColWidth="9.140625" defaultRowHeight="12.75"/>
  <cols>
    <col min="1" max="1" width="4.57421875" style="1" customWidth="1"/>
    <col min="2" max="2" width="3.8515625" style="1" customWidth="1"/>
    <col min="3" max="3" width="31.8515625" style="1" customWidth="1"/>
    <col min="4" max="4" width="7.421875" style="104" customWidth="1"/>
    <col min="5" max="5" width="9.28125" style="3" hidden="1" customWidth="1"/>
    <col min="6" max="6" width="9.7109375" style="2" customWidth="1"/>
    <col min="7" max="7" width="17.28125" style="56" customWidth="1"/>
    <col min="8" max="8" width="17.140625" style="56" customWidth="1"/>
    <col min="9" max="9" width="16.140625" style="56" customWidth="1"/>
    <col min="10" max="16384" width="9.140625" style="1" customWidth="1"/>
  </cols>
  <sheetData>
    <row r="1" ht="20.25">
      <c r="B1" s="80" t="s">
        <v>0</v>
      </c>
    </row>
    <row r="2" ht="12.75">
      <c r="B2" s="5" t="str">
        <f>'Sch A'!C2</f>
        <v>Loan as at 30th June 2002</v>
      </c>
    </row>
    <row r="3" ht="6.75" customHeight="1" thickBot="1">
      <c r="B3" s="5"/>
    </row>
    <row r="4" spans="2:9" ht="14.25" customHeight="1">
      <c r="B4" s="7"/>
      <c r="C4" s="8"/>
      <c r="D4" s="105"/>
      <c r="E4" s="22"/>
      <c r="F4" s="23"/>
      <c r="G4" s="81"/>
      <c r="H4" s="99"/>
      <c r="I4" s="57"/>
    </row>
    <row r="5" spans="2:9" s="5" customFormat="1" ht="12.75">
      <c r="B5" s="10" t="s">
        <v>2</v>
      </c>
      <c r="C5" s="11"/>
      <c r="D5" s="106" t="s">
        <v>3</v>
      </c>
      <c r="E5" s="24" t="s">
        <v>4</v>
      </c>
      <c r="F5" s="16" t="s">
        <v>5</v>
      </c>
      <c r="G5" s="45" t="s">
        <v>6</v>
      </c>
      <c r="H5" s="100" t="s">
        <v>91</v>
      </c>
      <c r="I5" s="58" t="s">
        <v>1</v>
      </c>
    </row>
    <row r="6" spans="2:9" s="5" customFormat="1" ht="12.75">
      <c r="B6" s="13"/>
      <c r="C6" s="14"/>
      <c r="D6" s="107"/>
      <c r="E6" s="26" t="s">
        <v>7</v>
      </c>
      <c r="F6" s="27"/>
      <c r="G6" s="61" t="s">
        <v>8</v>
      </c>
      <c r="H6" s="101" t="s">
        <v>100</v>
      </c>
      <c r="I6" s="60" t="s">
        <v>90</v>
      </c>
    </row>
    <row r="7" spans="2:9" s="6" customFormat="1" ht="18" customHeight="1">
      <c r="B7" s="71" t="s">
        <v>92</v>
      </c>
      <c r="C7" s="72"/>
      <c r="D7" s="106"/>
      <c r="E7" s="24"/>
      <c r="F7" s="16"/>
      <c r="G7" s="45"/>
      <c r="H7" s="100"/>
      <c r="I7" s="58"/>
    </row>
    <row r="8" spans="2:9" s="6" customFormat="1" ht="18" customHeight="1">
      <c r="B8" s="29" t="s">
        <v>42</v>
      </c>
      <c r="C8" s="12"/>
      <c r="D8" s="106"/>
      <c r="E8" s="24"/>
      <c r="F8" s="16"/>
      <c r="G8" s="45"/>
      <c r="H8" s="100"/>
      <c r="I8" s="58"/>
    </row>
    <row r="9" spans="2:9" ht="15" customHeight="1">
      <c r="B9" s="18" t="s">
        <v>55</v>
      </c>
      <c r="C9" s="9"/>
      <c r="D9" s="108"/>
      <c r="E9" s="31"/>
      <c r="F9" s="19" t="s">
        <v>43</v>
      </c>
      <c r="G9" s="65">
        <v>5000000</v>
      </c>
      <c r="H9" s="128">
        <v>3091731</v>
      </c>
      <c r="I9" s="129">
        <f>G9+H9</f>
        <v>8091731</v>
      </c>
    </row>
    <row r="10" spans="2:9" ht="15" customHeight="1">
      <c r="B10" s="18" t="s">
        <v>56</v>
      </c>
      <c r="C10" s="9"/>
      <c r="D10" s="108" t="s">
        <v>37</v>
      </c>
      <c r="E10" s="31"/>
      <c r="F10" s="19" t="s">
        <v>21</v>
      </c>
      <c r="G10" s="65">
        <v>904251.77</v>
      </c>
      <c r="H10" s="128">
        <v>571599</v>
      </c>
      <c r="I10" s="129">
        <f aca="true" t="shared" si="0" ref="I10:I22">G10+H10</f>
        <v>1475850.77</v>
      </c>
    </row>
    <row r="11" spans="2:9" ht="15" customHeight="1">
      <c r="B11" s="18" t="s">
        <v>57</v>
      </c>
      <c r="C11" s="9"/>
      <c r="D11" s="108"/>
      <c r="E11" s="31"/>
      <c r="F11" s="19" t="s">
        <v>21</v>
      </c>
      <c r="G11" s="65">
        <v>2093114.21</v>
      </c>
      <c r="H11" s="128">
        <v>721098</v>
      </c>
      <c r="I11" s="129">
        <f t="shared" si="0"/>
        <v>2814212.21</v>
      </c>
    </row>
    <row r="12" spans="2:9" ht="15" customHeight="1">
      <c r="B12" s="18" t="s">
        <v>58</v>
      </c>
      <c r="C12" s="9"/>
      <c r="D12" s="108" t="s">
        <v>25</v>
      </c>
      <c r="E12" s="31"/>
      <c r="F12" s="19" t="s">
        <v>21</v>
      </c>
      <c r="G12" s="65">
        <v>3045445.75</v>
      </c>
      <c r="H12" s="128">
        <v>2042352</v>
      </c>
      <c r="I12" s="129">
        <f t="shared" si="0"/>
        <v>5087797.75</v>
      </c>
    </row>
    <row r="13" spans="2:9" ht="15" customHeight="1">
      <c r="B13" s="18" t="s">
        <v>59</v>
      </c>
      <c r="C13" s="9"/>
      <c r="D13" s="108"/>
      <c r="E13" s="31"/>
      <c r="F13" s="19" t="s">
        <v>21</v>
      </c>
      <c r="G13" s="65">
        <v>2281352</v>
      </c>
      <c r="H13" s="128">
        <v>999337</v>
      </c>
      <c r="I13" s="129">
        <f t="shared" si="0"/>
        <v>3280689</v>
      </c>
    </row>
    <row r="14" spans="2:9" ht="15" customHeight="1">
      <c r="B14" s="18" t="s">
        <v>60</v>
      </c>
      <c r="C14" s="9"/>
      <c r="D14" s="108"/>
      <c r="E14" s="31"/>
      <c r="F14" s="19" t="s">
        <v>21</v>
      </c>
      <c r="G14" s="65">
        <v>11477074.7</v>
      </c>
      <c r="H14" s="128">
        <v>7526004</v>
      </c>
      <c r="I14" s="129">
        <f t="shared" si="0"/>
        <v>19003078.7</v>
      </c>
    </row>
    <row r="15" spans="2:9" ht="15" customHeight="1">
      <c r="B15" s="18" t="s">
        <v>61</v>
      </c>
      <c r="C15" s="9"/>
      <c r="D15" s="108"/>
      <c r="E15" s="31"/>
      <c r="F15" s="19" t="s">
        <v>21</v>
      </c>
      <c r="G15" s="65">
        <v>4306746.24</v>
      </c>
      <c r="H15" s="132">
        <v>1894584</v>
      </c>
      <c r="I15" s="129">
        <f t="shared" si="0"/>
        <v>6201330.24</v>
      </c>
    </row>
    <row r="16" spans="2:9" ht="15" customHeight="1">
      <c r="B16" s="18" t="s">
        <v>62</v>
      </c>
      <c r="C16" s="9"/>
      <c r="D16" s="108"/>
      <c r="E16" s="31"/>
      <c r="F16" s="19" t="s">
        <v>21</v>
      </c>
      <c r="G16" s="65">
        <v>2856233.48</v>
      </c>
      <c r="H16" s="128">
        <v>2554775</v>
      </c>
      <c r="I16" s="129">
        <f t="shared" si="0"/>
        <v>5411008.48</v>
      </c>
    </row>
    <row r="17" spans="2:9" ht="15" customHeight="1">
      <c r="B17" s="18" t="s">
        <v>63</v>
      </c>
      <c r="C17" s="9"/>
      <c r="D17" s="108"/>
      <c r="E17" s="31"/>
      <c r="F17" s="19" t="s">
        <v>21</v>
      </c>
      <c r="G17" s="65">
        <v>5000000</v>
      </c>
      <c r="H17" s="128">
        <v>3398098</v>
      </c>
      <c r="I17" s="129">
        <f t="shared" si="0"/>
        <v>8398098</v>
      </c>
    </row>
    <row r="18" spans="2:9" ht="15" customHeight="1">
      <c r="B18" s="18" t="s">
        <v>64</v>
      </c>
      <c r="C18" s="9"/>
      <c r="D18" s="108"/>
      <c r="E18" s="31"/>
      <c r="F18" s="19" t="s">
        <v>21</v>
      </c>
      <c r="G18" s="65">
        <v>2235961.93</v>
      </c>
      <c r="H18" s="128">
        <v>1601251</v>
      </c>
      <c r="I18" s="129">
        <f t="shared" si="0"/>
        <v>3837212.93</v>
      </c>
    </row>
    <row r="19" spans="2:9" ht="15" customHeight="1">
      <c r="B19" s="18" t="s">
        <v>65</v>
      </c>
      <c r="C19" s="9"/>
      <c r="D19" s="108"/>
      <c r="E19" s="31"/>
      <c r="F19" s="19" t="s">
        <v>31</v>
      </c>
      <c r="G19" s="65">
        <v>61941.48</v>
      </c>
      <c r="H19" s="128">
        <v>28090</v>
      </c>
      <c r="I19" s="129">
        <f t="shared" si="0"/>
        <v>90031.48000000001</v>
      </c>
    </row>
    <row r="20" spans="2:9" ht="15" customHeight="1">
      <c r="B20" s="18" t="s">
        <v>44</v>
      </c>
      <c r="C20" s="9"/>
      <c r="D20" s="108"/>
      <c r="E20" s="31"/>
      <c r="F20" s="19" t="s">
        <v>31</v>
      </c>
      <c r="G20" s="65">
        <v>779471.87</v>
      </c>
      <c r="H20" s="128">
        <v>353935</v>
      </c>
      <c r="I20" s="129">
        <f t="shared" si="0"/>
        <v>1133406.87</v>
      </c>
    </row>
    <row r="21" spans="2:9" ht="15" customHeight="1">
      <c r="B21" s="18" t="s">
        <v>66</v>
      </c>
      <c r="C21" s="9"/>
      <c r="D21" s="108"/>
      <c r="E21" s="31"/>
      <c r="F21" s="19" t="s">
        <v>31</v>
      </c>
      <c r="G21" s="65">
        <v>2000000</v>
      </c>
      <c r="H21" s="128">
        <v>976564</v>
      </c>
      <c r="I21" s="129">
        <f t="shared" si="0"/>
        <v>2976564</v>
      </c>
    </row>
    <row r="22" spans="2:9" ht="15" customHeight="1">
      <c r="B22" s="18" t="s">
        <v>67</v>
      </c>
      <c r="C22" s="11"/>
      <c r="D22" s="106"/>
      <c r="E22" s="24"/>
      <c r="F22" s="19" t="s">
        <v>31</v>
      </c>
      <c r="G22" s="85">
        <v>613444.24</v>
      </c>
      <c r="H22" s="130">
        <v>345834</v>
      </c>
      <c r="I22" s="131">
        <f t="shared" si="0"/>
        <v>959278.24</v>
      </c>
    </row>
    <row r="23" spans="2:9" s="5" customFormat="1" ht="18" customHeight="1">
      <c r="B23" s="10" t="s">
        <v>45</v>
      </c>
      <c r="D23" s="109"/>
      <c r="E23" s="24"/>
      <c r="F23" s="16"/>
      <c r="G23" s="63">
        <f>SUM(G9:G22)</f>
        <v>42655037.67</v>
      </c>
      <c r="H23" s="132">
        <f>SUM(H9:H22)</f>
        <v>26105252</v>
      </c>
      <c r="I23" s="133">
        <f>SUM(I9:I22)</f>
        <v>68760289.67</v>
      </c>
    </row>
    <row r="24" spans="2:9" ht="12.75">
      <c r="B24" s="18"/>
      <c r="C24" s="9"/>
      <c r="D24" s="108"/>
      <c r="E24" s="31"/>
      <c r="F24" s="19"/>
      <c r="G24" s="65"/>
      <c r="H24" s="128"/>
      <c r="I24" s="129"/>
    </row>
    <row r="25" spans="2:9" ht="18" customHeight="1">
      <c r="B25" s="15" t="s">
        <v>46</v>
      </c>
      <c r="C25" s="9"/>
      <c r="D25" s="108"/>
      <c r="E25" s="31"/>
      <c r="F25" s="19"/>
      <c r="G25" s="65"/>
      <c r="H25" s="128"/>
      <c r="I25" s="129"/>
    </row>
    <row r="26" spans="2:9" ht="15" customHeight="1">
      <c r="B26" s="18" t="s">
        <v>68</v>
      </c>
      <c r="C26" s="9"/>
      <c r="D26" s="108"/>
      <c r="E26" s="31"/>
      <c r="F26" s="19" t="s">
        <v>47</v>
      </c>
      <c r="G26" s="65">
        <v>1278932</v>
      </c>
      <c r="H26" s="128">
        <v>0</v>
      </c>
      <c r="I26" s="129">
        <f>G26+H26</f>
        <v>1278932</v>
      </c>
    </row>
    <row r="27" spans="2:9" ht="15" customHeight="1">
      <c r="B27" s="18" t="s">
        <v>69</v>
      </c>
      <c r="C27" s="9"/>
      <c r="D27" s="108" t="s">
        <v>37</v>
      </c>
      <c r="E27" s="31"/>
      <c r="F27" s="19" t="s">
        <v>47</v>
      </c>
      <c r="G27" s="85">
        <v>7379948</v>
      </c>
      <c r="H27" s="130">
        <v>0</v>
      </c>
      <c r="I27" s="131">
        <f>G27+H27</f>
        <v>7379948</v>
      </c>
    </row>
    <row r="28" spans="2:9" s="5" customFormat="1" ht="18" customHeight="1">
      <c r="B28" s="10" t="s">
        <v>45</v>
      </c>
      <c r="C28" s="11"/>
      <c r="D28" s="106"/>
      <c r="E28" s="24"/>
      <c r="F28" s="16"/>
      <c r="G28" s="63">
        <f>SUM(G26:G27)</f>
        <v>8658880</v>
      </c>
      <c r="H28" s="132">
        <f>SUM(H26:H27)</f>
        <v>0</v>
      </c>
      <c r="I28" s="133">
        <f>SUM(I26:I27)</f>
        <v>8658880</v>
      </c>
    </row>
    <row r="29" spans="2:9" ht="12.75">
      <c r="B29" s="18"/>
      <c r="C29" s="9"/>
      <c r="D29" s="108"/>
      <c r="E29" s="31"/>
      <c r="F29" s="19"/>
      <c r="G29" s="65"/>
      <c r="H29" s="128"/>
      <c r="I29" s="129"/>
    </row>
    <row r="30" spans="2:9" ht="18" customHeight="1">
      <c r="B30" s="15" t="s">
        <v>48</v>
      </c>
      <c r="C30" s="9"/>
      <c r="D30" s="108"/>
      <c r="E30" s="31"/>
      <c r="F30" s="19"/>
      <c r="G30" s="65"/>
      <c r="H30" s="128"/>
      <c r="I30" s="129"/>
    </row>
    <row r="31" spans="2:9" ht="15" customHeight="1">
      <c r="B31" s="18" t="s">
        <v>70</v>
      </c>
      <c r="C31" s="9"/>
      <c r="D31" s="108"/>
      <c r="E31" s="31"/>
      <c r="F31" s="19" t="s">
        <v>49</v>
      </c>
      <c r="G31" s="65">
        <v>27169</v>
      </c>
      <c r="H31" s="128"/>
      <c r="I31" s="129">
        <f>G31+H31</f>
        <v>27169</v>
      </c>
    </row>
    <row r="32" spans="2:9" ht="15" customHeight="1">
      <c r="B32" s="18" t="s">
        <v>71</v>
      </c>
      <c r="C32" s="9"/>
      <c r="D32" s="108"/>
      <c r="E32" s="31"/>
      <c r="F32" s="19" t="s">
        <v>49</v>
      </c>
      <c r="G32" s="65">
        <v>203999</v>
      </c>
      <c r="H32" s="128"/>
      <c r="I32" s="129">
        <f>G32+H32</f>
        <v>203999</v>
      </c>
    </row>
    <row r="33" spans="2:9" ht="15" customHeight="1">
      <c r="B33" s="18" t="s">
        <v>12</v>
      </c>
      <c r="C33" s="9"/>
      <c r="D33" s="108"/>
      <c r="E33" s="31"/>
      <c r="F33" s="19" t="s">
        <v>49</v>
      </c>
      <c r="G33" s="85">
        <v>606787</v>
      </c>
      <c r="H33" s="130"/>
      <c r="I33" s="131">
        <f>G33+H33</f>
        <v>606787</v>
      </c>
    </row>
    <row r="34" spans="2:9" ht="18" customHeight="1">
      <c r="B34" s="10" t="s">
        <v>45</v>
      </c>
      <c r="C34" s="9"/>
      <c r="D34" s="108"/>
      <c r="E34" s="31"/>
      <c r="F34" s="19"/>
      <c r="G34" s="63">
        <f>SUM(G31:G33)</f>
        <v>837955</v>
      </c>
      <c r="H34" s="132">
        <f>SUM(H31:H33)</f>
        <v>0</v>
      </c>
      <c r="I34" s="133">
        <f>SUM(I31:I33)</f>
        <v>837955</v>
      </c>
    </row>
    <row r="35" spans="2:9" ht="12.75">
      <c r="B35" s="18"/>
      <c r="C35" s="9"/>
      <c r="D35" s="108"/>
      <c r="E35" s="31"/>
      <c r="F35" s="19"/>
      <c r="G35" s="65"/>
      <c r="H35" s="128"/>
      <c r="I35" s="129"/>
    </row>
    <row r="36" spans="2:9" s="5" customFormat="1" ht="21" customHeight="1" thickBot="1">
      <c r="B36" s="10" t="s">
        <v>50</v>
      </c>
      <c r="C36" s="11"/>
      <c r="D36" s="106"/>
      <c r="E36" s="24"/>
      <c r="F36" s="16"/>
      <c r="G36" s="102">
        <f>G23+G28+G34</f>
        <v>52151872.67</v>
      </c>
      <c r="H36" s="134">
        <f>H23+H28+H34</f>
        <v>26105252</v>
      </c>
      <c r="I36" s="135">
        <f>I23+I28+I34</f>
        <v>78257124.67</v>
      </c>
    </row>
    <row r="37" spans="2:9" ht="12" customHeight="1" thickTop="1">
      <c r="B37" s="18"/>
      <c r="C37" s="9"/>
      <c r="D37" s="108"/>
      <c r="E37" s="31"/>
      <c r="F37" s="19"/>
      <c r="G37" s="65"/>
      <c r="H37" s="128"/>
      <c r="I37" s="129"/>
    </row>
    <row r="38" spans="2:9" ht="18" customHeight="1">
      <c r="B38" s="77" t="s">
        <v>93</v>
      </c>
      <c r="C38" s="78"/>
      <c r="D38" s="108"/>
      <c r="E38" s="31"/>
      <c r="F38" s="19"/>
      <c r="G38" s="65"/>
      <c r="H38" s="128"/>
      <c r="I38" s="129"/>
    </row>
    <row r="39" spans="2:9" ht="15" customHeight="1">
      <c r="B39" s="18" t="s">
        <v>51</v>
      </c>
      <c r="C39" s="9"/>
      <c r="D39" s="108"/>
      <c r="E39" s="31">
        <v>0.1</v>
      </c>
      <c r="F39" s="19" t="s">
        <v>28</v>
      </c>
      <c r="G39" s="65">
        <v>1162981</v>
      </c>
      <c r="H39" s="128"/>
      <c r="I39" s="129">
        <f>G39+H39</f>
        <v>1162981</v>
      </c>
    </row>
    <row r="40" spans="2:9" ht="15" customHeight="1">
      <c r="B40" s="18" t="s">
        <v>71</v>
      </c>
      <c r="C40" s="9"/>
      <c r="D40" s="108"/>
      <c r="E40" s="31">
        <v>0.1</v>
      </c>
      <c r="F40" s="19" t="s">
        <v>11</v>
      </c>
      <c r="G40" s="85">
        <v>3905064</v>
      </c>
      <c r="H40" s="128"/>
      <c r="I40" s="129">
        <f>G40+H40</f>
        <v>3905064</v>
      </c>
    </row>
    <row r="41" spans="2:9" s="5" customFormat="1" ht="18" customHeight="1" thickBot="1">
      <c r="B41" s="10"/>
      <c r="C41" s="11"/>
      <c r="D41" s="106"/>
      <c r="E41" s="24"/>
      <c r="F41" s="16"/>
      <c r="G41" s="102">
        <f>SUM(G39:G40)</f>
        <v>5068045</v>
      </c>
      <c r="H41" s="134">
        <f>SUM(H39:H40)</f>
        <v>0</v>
      </c>
      <c r="I41" s="135">
        <f>SUM(I39:I40)</f>
        <v>5068045</v>
      </c>
    </row>
    <row r="42" spans="2:9" ht="13.5" thickTop="1">
      <c r="B42" s="18"/>
      <c r="C42" s="9"/>
      <c r="D42" s="108"/>
      <c r="E42" s="31"/>
      <c r="F42" s="19"/>
      <c r="G42" s="65"/>
      <c r="H42" s="128"/>
      <c r="I42" s="129"/>
    </row>
    <row r="43" spans="2:9" ht="18" customHeight="1">
      <c r="B43" s="77" t="s">
        <v>94</v>
      </c>
      <c r="C43" s="78"/>
      <c r="D43" s="108"/>
      <c r="E43" s="31"/>
      <c r="F43" s="19"/>
      <c r="G43" s="65"/>
      <c r="H43" s="128"/>
      <c r="I43" s="129"/>
    </row>
    <row r="44" spans="2:9" ht="15" customHeight="1">
      <c r="B44" s="15" t="s">
        <v>46</v>
      </c>
      <c r="C44" s="9"/>
      <c r="D44" s="108"/>
      <c r="E44" s="31"/>
      <c r="F44" s="19"/>
      <c r="G44" s="65"/>
      <c r="H44" s="128"/>
      <c r="I44" s="129"/>
    </row>
    <row r="45" spans="2:9" ht="15" customHeight="1">
      <c r="B45" s="18" t="s">
        <v>72</v>
      </c>
      <c r="C45" s="9"/>
      <c r="D45" s="108"/>
      <c r="E45" s="31">
        <v>0.103</v>
      </c>
      <c r="F45" s="19" t="s">
        <v>11</v>
      </c>
      <c r="G45" s="65">
        <v>1708436</v>
      </c>
      <c r="H45" s="128"/>
      <c r="I45" s="129">
        <f>G45+H45</f>
        <v>1708436</v>
      </c>
    </row>
    <row r="46" spans="2:9" ht="15" customHeight="1">
      <c r="B46" s="18" t="s">
        <v>12</v>
      </c>
      <c r="C46" s="9"/>
      <c r="D46" s="108"/>
      <c r="E46" s="31">
        <v>0.088</v>
      </c>
      <c r="F46" s="19" t="s">
        <v>11</v>
      </c>
      <c r="G46" s="85">
        <v>770129</v>
      </c>
      <c r="H46" s="130"/>
      <c r="I46" s="131">
        <f>G46+H46</f>
        <v>770129</v>
      </c>
    </row>
    <row r="47" spans="2:9" s="5" customFormat="1" ht="18" customHeight="1">
      <c r="B47" s="10" t="s">
        <v>45</v>
      </c>
      <c r="C47" s="11"/>
      <c r="D47" s="106"/>
      <c r="E47" s="24"/>
      <c r="F47" s="16"/>
      <c r="G47" s="63">
        <f>SUM(G45:G46)</f>
        <v>2478565</v>
      </c>
      <c r="H47" s="132">
        <f>SUM(H45:H46)</f>
        <v>0</v>
      </c>
      <c r="I47" s="133">
        <f>SUM(I45:I46)</f>
        <v>2478565</v>
      </c>
    </row>
    <row r="48" spans="2:9" ht="12.75">
      <c r="B48" s="18"/>
      <c r="C48" s="9"/>
      <c r="D48" s="108"/>
      <c r="E48" s="31"/>
      <c r="F48" s="19"/>
      <c r="G48" s="65"/>
      <c r="H48" s="128"/>
      <c r="I48" s="129"/>
    </row>
    <row r="49" spans="2:9" ht="18" customHeight="1">
      <c r="B49" s="15" t="s">
        <v>52</v>
      </c>
      <c r="C49" s="9"/>
      <c r="D49" s="108"/>
      <c r="E49" s="31"/>
      <c r="F49" s="19"/>
      <c r="G49" s="65"/>
      <c r="H49" s="128"/>
      <c r="I49" s="129"/>
    </row>
    <row r="50" spans="2:9" ht="15" customHeight="1">
      <c r="B50" s="18" t="s">
        <v>72</v>
      </c>
      <c r="C50" s="9"/>
      <c r="D50" s="108"/>
      <c r="E50" s="31"/>
      <c r="F50" s="19" t="s">
        <v>53</v>
      </c>
      <c r="G50" s="65">
        <v>39360</v>
      </c>
      <c r="H50" s="132"/>
      <c r="I50" s="129">
        <f>G50+H50</f>
        <v>39360</v>
      </c>
    </row>
    <row r="51" spans="2:9" ht="15" customHeight="1">
      <c r="B51" s="18" t="s">
        <v>12</v>
      </c>
      <c r="C51" s="9"/>
      <c r="D51" s="108"/>
      <c r="E51" s="31"/>
      <c r="F51" s="19" t="s">
        <v>53</v>
      </c>
      <c r="G51" s="85">
        <f>246267.77+71399.53+5701.62</f>
        <v>323368.92</v>
      </c>
      <c r="H51" s="136"/>
      <c r="I51" s="131">
        <f>G51+H51</f>
        <v>323368.92</v>
      </c>
    </row>
    <row r="52" spans="2:9" s="5" customFormat="1" ht="18" customHeight="1">
      <c r="B52" s="10" t="s">
        <v>45</v>
      </c>
      <c r="C52" s="11"/>
      <c r="D52" s="106"/>
      <c r="E52" s="24"/>
      <c r="F52" s="16"/>
      <c r="G52" s="63">
        <f>SUM(G50:G51)</f>
        <v>362728.92</v>
      </c>
      <c r="H52" s="132">
        <f>SUM(H50:H51)</f>
        <v>0</v>
      </c>
      <c r="I52" s="133">
        <f>SUM(I50:I51)</f>
        <v>362728.92</v>
      </c>
    </row>
    <row r="53" spans="2:9" ht="12.75">
      <c r="B53" s="18"/>
      <c r="C53" s="9"/>
      <c r="D53" s="108"/>
      <c r="E53" s="31"/>
      <c r="F53" s="19"/>
      <c r="G53" s="65"/>
      <c r="H53" s="132"/>
      <c r="I53" s="129"/>
    </row>
    <row r="54" spans="2:9" s="5" customFormat="1" ht="18" customHeight="1" thickBot="1">
      <c r="B54" s="10" t="s">
        <v>54</v>
      </c>
      <c r="C54" s="11"/>
      <c r="D54" s="106"/>
      <c r="E54" s="24"/>
      <c r="F54" s="16"/>
      <c r="G54" s="102">
        <f>G47+G52</f>
        <v>2841293.92</v>
      </c>
      <c r="H54" s="134">
        <f>H47+H52</f>
        <v>0</v>
      </c>
      <c r="I54" s="135">
        <f>I47+I52</f>
        <v>2841293.92</v>
      </c>
    </row>
    <row r="55" spans="2:9" ht="13.5" thickTop="1">
      <c r="B55" s="18"/>
      <c r="C55" s="9"/>
      <c r="D55" s="108"/>
      <c r="E55" s="31"/>
      <c r="F55" s="19"/>
      <c r="G55" s="65"/>
      <c r="H55" s="132"/>
      <c r="I55" s="129"/>
    </row>
    <row r="56" spans="2:9" ht="18" customHeight="1">
      <c r="B56" s="77" t="s">
        <v>95</v>
      </c>
      <c r="C56" s="78"/>
      <c r="D56" s="108"/>
      <c r="E56" s="31"/>
      <c r="F56" s="19"/>
      <c r="G56" s="65"/>
      <c r="H56" s="128"/>
      <c r="I56" s="129"/>
    </row>
    <row r="57" spans="2:9" ht="15" customHeight="1">
      <c r="B57" s="18" t="s">
        <v>73</v>
      </c>
      <c r="C57" s="9"/>
      <c r="D57" s="108"/>
      <c r="E57" s="31">
        <v>0.093</v>
      </c>
      <c r="F57" s="19" t="s">
        <v>11</v>
      </c>
      <c r="G57" s="63">
        <v>3884665</v>
      </c>
      <c r="H57" s="132">
        <v>0</v>
      </c>
      <c r="I57" s="133">
        <f>G57+H57</f>
        <v>3884665</v>
      </c>
    </row>
    <row r="58" spans="2:9" ht="13.5" thickBot="1">
      <c r="B58" s="18"/>
      <c r="C58" s="9"/>
      <c r="D58" s="108"/>
      <c r="E58" s="33"/>
      <c r="F58" s="19"/>
      <c r="G58" s="65"/>
      <c r="H58" s="128"/>
      <c r="I58" s="129"/>
    </row>
    <row r="59" spans="2:9" s="5" customFormat="1" ht="21" customHeight="1" thickBot="1">
      <c r="B59" s="34" t="s">
        <v>96</v>
      </c>
      <c r="C59" s="35"/>
      <c r="D59" s="110"/>
      <c r="E59" s="37"/>
      <c r="F59" s="36"/>
      <c r="G59" s="103">
        <f>G36+G41+G54+G57</f>
        <v>63945876.59</v>
      </c>
      <c r="H59" s="103">
        <f>H36+H41+H54+H57</f>
        <v>26105252</v>
      </c>
      <c r="I59" s="137">
        <f>I36+I41+I54+I57</f>
        <v>90051128.59</v>
      </c>
    </row>
    <row r="60" spans="7:9" ht="13.5" thickBot="1">
      <c r="G60" s="103"/>
      <c r="H60" s="103"/>
      <c r="I60" s="103"/>
    </row>
    <row r="61" spans="3:9" ht="19.5" customHeight="1" thickBot="1">
      <c r="C61" s="118" t="s">
        <v>97</v>
      </c>
      <c r="D61" s="119"/>
      <c r="E61" s="120"/>
      <c r="F61" s="121"/>
      <c r="G61" s="103">
        <f>+G59+'Sch A'!G63</f>
        <v>420852686.84000003</v>
      </c>
      <c r="H61" s="103">
        <f>+H59+'Sch A'!H63</f>
        <v>119958140.19804105</v>
      </c>
      <c r="I61" s="122">
        <f>+I59+'Sch A'!I63</f>
        <v>540810828.5080411</v>
      </c>
    </row>
    <row r="62" spans="3:9" ht="12.75">
      <c r="C62" s="17"/>
      <c r="D62" s="17"/>
      <c r="E62" s="50"/>
      <c r="F62" s="97"/>
      <c r="G62" s="55"/>
      <c r="H62" s="55"/>
      <c r="I62" s="55"/>
    </row>
    <row r="63" spans="3:6" ht="12.75">
      <c r="C63" s="17"/>
      <c r="D63" s="17"/>
      <c r="E63" s="50"/>
      <c r="F63" s="97"/>
    </row>
    <row r="64" spans="3:6" ht="12.75">
      <c r="C64" s="17"/>
      <c r="D64" s="17"/>
      <c r="E64" s="50"/>
      <c r="F64" s="97"/>
    </row>
    <row r="65" ht="12.75">
      <c r="B65" s="1" t="s">
        <v>39</v>
      </c>
    </row>
    <row r="66" ht="12.75">
      <c r="B66" s="1" t="s">
        <v>40</v>
      </c>
    </row>
    <row r="67" ht="12.75">
      <c r="B67" s="1" t="s">
        <v>41</v>
      </c>
    </row>
  </sheetData>
  <printOptions horizontalCentered="1"/>
  <pageMargins left="0.26" right="0.16" top="0.19" bottom="0.17" header="0.37" footer="0.1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CHASE PERDANA BERHAD </cp:lastModifiedBy>
  <cp:lastPrinted>2002-07-30T00:43:20Z</cp:lastPrinted>
  <dcterms:created xsi:type="dcterms:W3CDTF">2001-06-25T03:38:14Z</dcterms:created>
  <dcterms:modified xsi:type="dcterms:W3CDTF">2002-08-01T02:23:33Z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264B11E4">
    <vt:lpwstr/>
  </property>
  <property fmtid="{D5CDD505-2E9C-101B-9397-08002B2CF9AE}" pid="14" name="IVIDD331809">
    <vt:lpwstr/>
  </property>
  <property fmtid="{D5CDD505-2E9C-101B-9397-08002B2CF9AE}" pid="15" name="IVID324B10F9">
    <vt:lpwstr/>
  </property>
  <property fmtid="{D5CDD505-2E9C-101B-9397-08002B2CF9AE}" pid="16" name="IVID1F3511EB">
    <vt:lpwstr/>
  </property>
  <property fmtid="{D5CDD505-2E9C-101B-9397-08002B2CF9AE}" pid="17" name="IVID8AA05D38">
    <vt:lpwstr/>
  </property>
  <property fmtid="{D5CDD505-2E9C-101B-9397-08002B2CF9AE}" pid="18" name="IVID232918D8">
    <vt:lpwstr/>
  </property>
</Properties>
</file>